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60" yWindow="75" windowWidth="11340" windowHeight="6030" activeTab="0"/>
  </bookViews>
  <sheets>
    <sheet name="Plano Empréstimo -DIEESE CUT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Central ?nica dos Trabalhadores</author>
  </authors>
  <commentList>
    <comment ref="D3" authorId="0">
      <text>
        <r>
          <rPr>
            <b/>
            <sz val="8"/>
            <color indexed="9"/>
            <rFont val="Tahoma"/>
            <family val="2"/>
          </rPr>
          <t>Digite o valor do seu salário base nesta célula</t>
        </r>
      </text>
    </comment>
    <comment ref="D18" authorId="0">
      <text>
        <r>
          <rPr>
            <b/>
            <sz val="8"/>
            <color indexed="9"/>
            <rFont val="Tahoma"/>
            <family val="2"/>
          </rPr>
          <t xml:space="preserve">Esta é a sua renda disponível </t>
        </r>
        <r>
          <rPr>
            <sz val="8"/>
            <color indexed="9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color indexed="9"/>
            <rFont val="Tahoma"/>
            <family val="2"/>
          </rPr>
          <t>Este é o valor máximo que você pode dispor para prestação mensal</t>
        </r>
      </text>
    </comment>
    <comment ref="B20" authorId="0">
      <text>
        <r>
          <rPr>
            <b/>
            <sz val="8"/>
            <color indexed="9"/>
            <rFont val="Tahoma"/>
            <family val="2"/>
          </rPr>
          <t xml:space="preserve">Após preencher os campos abaixo, veja resultado do plano que você deseja contratar. </t>
        </r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8"/>
            <color indexed="9"/>
            <rFont val="Tahoma"/>
            <family val="2"/>
          </rPr>
          <t>Caso você não consiga, com sua renda atual, financiar o plano, aparecerá o resultado neste campo</t>
        </r>
      </text>
    </comment>
    <comment ref="D29" authorId="0">
      <text>
        <r>
          <rPr>
            <b/>
            <sz val="8"/>
            <color indexed="9"/>
            <rFont val="Tahoma"/>
            <family val="2"/>
          </rPr>
          <t>Valor aproximado incluindo IOF</t>
        </r>
      </text>
    </comment>
  </commentList>
</comments>
</file>

<file path=xl/sharedStrings.xml><?xml version="1.0" encoding="utf-8"?>
<sst xmlns="http://schemas.openxmlformats.org/spreadsheetml/2006/main" count="78" uniqueCount="71">
  <si>
    <t>Salário Base:</t>
  </si>
  <si>
    <t>INSS</t>
  </si>
  <si>
    <t>IRRF</t>
  </si>
  <si>
    <t>Penção Alimentícia Judicial</t>
  </si>
  <si>
    <t>Outras Decisões Judiciais ou Administrativas</t>
  </si>
  <si>
    <t>Mensalidade/Contribuições Entidades Sindicais</t>
  </si>
  <si>
    <t>Outros Descontos Compulsórios</t>
  </si>
  <si>
    <t>Subtotal</t>
  </si>
  <si>
    <t>Descontos Compulsórios</t>
  </si>
  <si>
    <t>Contribuição a Partidos Políticos, Entidades, Clubes e Associações de Caráter Recreativo ou Cultural</t>
  </si>
  <si>
    <t>Contribuição a Cooperativas</t>
  </si>
  <si>
    <t>Plano de Saúde, Pecúlio, Seguros e Previdência Complementar</t>
  </si>
  <si>
    <t>Prestação Compra Imóvel em Favor de Entidade Financeira</t>
  </si>
  <si>
    <t>Amortização de Empréstimos Concedidos por Entidade de Previdência Privada ou Financeira</t>
  </si>
  <si>
    <t>Outros Descontos Voluntários Autorizado</t>
  </si>
  <si>
    <t>Renda Disponível</t>
  </si>
  <si>
    <t>Prestação Mensal Máxima</t>
  </si>
  <si>
    <t>Descontos Voluntários</t>
  </si>
  <si>
    <t>Calcule sua Prestação Máxima para o Crédito Consignado</t>
  </si>
  <si>
    <t>Prazo em Meses</t>
  </si>
  <si>
    <t>Elaboração: Subseção DIEESE - CUT Nacional</t>
  </si>
  <si>
    <t>Taxa Contratada - %</t>
  </si>
  <si>
    <r>
      <t xml:space="preserve">Valor Financiado - </t>
    </r>
    <r>
      <rPr>
        <sz val="9"/>
        <color indexed="8"/>
        <rFont val="Arial"/>
        <family val="2"/>
      </rPr>
      <t>R$</t>
    </r>
  </si>
  <si>
    <r>
      <t xml:space="preserve">Taxa Abertura Crédito - TAC - </t>
    </r>
    <r>
      <rPr>
        <sz val="9"/>
        <color indexed="8"/>
        <rFont val="Arial"/>
        <family val="2"/>
      </rPr>
      <t>R$</t>
    </r>
  </si>
  <si>
    <r>
      <t xml:space="preserve">Outras Taxas Cobradas - </t>
    </r>
    <r>
      <rPr>
        <sz val="9"/>
        <color indexed="8"/>
        <rFont val="Arial"/>
        <family val="2"/>
      </rPr>
      <t>R$</t>
    </r>
  </si>
  <si>
    <r>
      <t xml:space="preserve">Montante Líquido Liberado - </t>
    </r>
    <r>
      <rPr>
        <sz val="9"/>
        <color indexed="10"/>
        <rFont val="Arial"/>
        <family val="2"/>
      </rPr>
      <t>R$</t>
    </r>
  </si>
  <si>
    <t>Obs: Taxa Efetiva considera a TAC, IOF e outras taxas</t>
  </si>
  <si>
    <r>
      <t xml:space="preserve">Valor Prestação </t>
    </r>
    <r>
      <rPr>
        <b/>
        <vertAlign val="superscript"/>
        <sz val="9"/>
        <color indexed="9"/>
        <rFont val="Arial"/>
        <family val="2"/>
      </rPr>
      <t>(1)</t>
    </r>
    <r>
      <rPr>
        <b/>
        <sz val="9"/>
        <color indexed="9"/>
        <rFont val="Arial"/>
        <family val="2"/>
      </rPr>
      <t xml:space="preserve"> - </t>
    </r>
    <r>
      <rPr>
        <sz val="9"/>
        <color indexed="9"/>
        <rFont val="Arial"/>
        <family val="2"/>
      </rPr>
      <t>R$</t>
    </r>
  </si>
  <si>
    <t>IOF Embutido % ao mês</t>
  </si>
  <si>
    <r>
      <t>Taxa de Juros Efetiva</t>
    </r>
    <r>
      <rPr>
        <b/>
        <vertAlign val="superscript"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- %</t>
    </r>
  </si>
  <si>
    <t>Simulador para Crédito Direto ao Consumidor ( Financiamento )</t>
  </si>
  <si>
    <t>Número de prestações mensais ( Prazo )</t>
  </si>
  <si>
    <t xml:space="preserve">Taxa de juros do financiamento </t>
  </si>
  <si>
    <t>Alíquota de IOF - ao mês</t>
  </si>
  <si>
    <t>Valor fixo das prestações mensais</t>
  </si>
  <si>
    <t>Valor líquido financiado</t>
  </si>
  <si>
    <t xml:space="preserve">     Valor total pago financ</t>
  </si>
  <si>
    <t>A- sem o financiamento do IOF</t>
  </si>
  <si>
    <t>B- com o financiamento do IOF</t>
  </si>
  <si>
    <t>TABELA DO IOF, NÃO APARECE PARA INERNAUTA</t>
  </si>
  <si>
    <t xml:space="preserve"> </t>
  </si>
  <si>
    <t>PRAZO: MESES</t>
  </si>
  <si>
    <t>TAXA: % A.M.</t>
  </si>
  <si>
    <t>valor financiamento</t>
  </si>
  <si>
    <t>ALÍQUOTA MENSAL</t>
  </si>
  <si>
    <t>S1=</t>
  </si>
  <si>
    <t>S2=</t>
  </si>
  <si>
    <t>S=</t>
  </si>
  <si>
    <t>P=</t>
  </si>
  <si>
    <t>Q=</t>
  </si>
  <si>
    <t>f=</t>
  </si>
  <si>
    <t>Fa=</t>
  </si>
  <si>
    <t xml:space="preserve"> &lt;=IOC DEDUZIDO DO EMPRESTIMO</t>
  </si>
  <si>
    <t>Fb=</t>
  </si>
  <si>
    <t xml:space="preserve"> &lt;=IOC ADICIONADO AO VAL DO EMPRÉSTIMO</t>
  </si>
  <si>
    <t>ONDE</t>
  </si>
  <si>
    <t>PV</t>
  </si>
  <si>
    <t xml:space="preserve"> -G21</t>
  </si>
  <si>
    <t>tx mês</t>
  </si>
  <si>
    <t>G 15</t>
  </si>
  <si>
    <t>n</t>
  </si>
  <si>
    <t>G 13</t>
  </si>
  <si>
    <t>MESMA FÓRMULA</t>
  </si>
  <si>
    <t>(-G 21 + A 54)</t>
  </si>
  <si>
    <t>Informe Valores</t>
  </si>
  <si>
    <r>
      <t>(1)</t>
    </r>
    <r>
      <rPr>
        <b/>
        <sz val="8"/>
        <color indexed="23"/>
        <rFont val="Arial"/>
        <family val="2"/>
      </rPr>
      <t xml:space="preserve"> Valor Aproximado incluindo IOF</t>
    </r>
  </si>
  <si>
    <t>Valor Financiado</t>
  </si>
  <si>
    <t xml:space="preserve">     Valor total pago financ  + iof</t>
  </si>
  <si>
    <t>Com o financiamento do IOF</t>
  </si>
  <si>
    <r>
      <t xml:space="preserve">PMT = </t>
    </r>
    <r>
      <rPr>
        <u val="single"/>
        <sz val="9"/>
        <rFont val="Arial"/>
        <family val="2"/>
      </rPr>
      <t xml:space="preserve">PV x (tx. mês/100) x (1+tx. mês/100) </t>
    </r>
    <r>
      <rPr>
        <u val="single"/>
        <vertAlign val="superscript"/>
        <sz val="9"/>
        <rFont val="Arial"/>
        <family val="2"/>
      </rPr>
      <t>n</t>
    </r>
  </si>
  <si>
    <r>
      <t xml:space="preserve">( 1+ tx mês /100) </t>
    </r>
    <r>
      <rPr>
        <vertAlign val="superscript"/>
        <sz val="9"/>
        <rFont val="Arial"/>
        <family val="2"/>
      </rPr>
      <t>n</t>
    </r>
    <r>
      <rPr>
        <sz val="9"/>
        <rFont val="Arial"/>
        <family val="2"/>
      </rPr>
      <t xml:space="preserve">  - 1</t>
    </r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</si>
</sst>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%"/>
    <numFmt numFmtId="171" formatCode="&quot;R$&quot;#,##0.00"/>
    <numFmt numFmtId="172" formatCode="_(* #,##0.0_);_(* \(#,##0.0\);_(* &quot;-&quot;??_);_(@_)"/>
    <numFmt numFmtId="173" formatCode="_(* #,##0_);_(* \(#,##0\);_(* &quot;-&quot;??_);_(@_)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&quot;R$ &quot;#,##0.00"/>
    <numFmt numFmtId="192" formatCode="0_);\(0\)"/>
    <numFmt numFmtId="193" formatCode="0.0000_);\(0.0000\)"/>
    <numFmt numFmtId="194" formatCode="0.00000_);\(0.00000\)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</numFmts>
  <fonts count="30">
    <font>
      <sz val="10"/>
      <name val="Arial"/>
      <family val="0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b/>
      <vertAlign val="superscript"/>
      <sz val="8"/>
      <color indexed="23"/>
      <name val="Arial"/>
      <family val="2"/>
    </font>
    <font>
      <b/>
      <sz val="8"/>
      <color indexed="23"/>
      <name val="Arial"/>
      <family val="2"/>
    </font>
    <font>
      <b/>
      <sz val="10"/>
      <color indexed="23"/>
      <name val="Arial"/>
      <family val="2"/>
    </font>
    <font>
      <u val="single"/>
      <sz val="9"/>
      <name val="Arial"/>
      <family val="2"/>
    </font>
    <font>
      <u val="single"/>
      <vertAlign val="superscript"/>
      <sz val="9"/>
      <name val="Arial"/>
      <family val="2"/>
    </font>
    <font>
      <vertAlign val="superscript"/>
      <sz val="9"/>
      <name val="Arial"/>
      <family val="2"/>
    </font>
  </fonts>
  <fills count="10">
    <fill>
      <patternFill/>
    </fill>
    <fill>
      <patternFill patternType="gray125"/>
    </fill>
    <fill>
      <patternFill patternType="darkGray">
        <fgColor indexed="10"/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8" fillId="0" borderId="0" xfId="0" applyFont="1" applyAlignment="1" quotePrefix="1">
      <alignment horizontal="left" indent="1"/>
    </xf>
    <xf numFmtId="8" fontId="0" fillId="0" borderId="0" xfId="0" applyNumberFormat="1" applyAlignment="1">
      <alignment/>
    </xf>
    <xf numFmtId="0" fontId="0" fillId="0" borderId="0" xfId="0" applyAlignment="1">
      <alignment horizontal="center" vertical="center" textRotation="90" wrapText="1"/>
    </xf>
    <xf numFmtId="10" fontId="0" fillId="0" borderId="0" xfId="0" applyNumberFormat="1" applyAlignment="1">
      <alignment/>
    </xf>
    <xf numFmtId="170" fontId="0" fillId="0" borderId="0" xfId="21" applyNumberFormat="1" applyAlignment="1">
      <alignment/>
    </xf>
    <xf numFmtId="184" fontId="0" fillId="0" borderId="0" xfId="0" applyNumberFormat="1" applyAlignment="1">
      <alignment/>
    </xf>
    <xf numFmtId="43" fontId="1" fillId="2" borderId="1" xfId="22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43" fontId="1" fillId="3" borderId="4" xfId="22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43" fontId="3" fillId="4" borderId="7" xfId="22" applyFont="1" applyFill="1" applyBorder="1" applyAlignment="1">
      <alignment vertical="center"/>
    </xf>
    <xf numFmtId="0" fontId="4" fillId="0" borderId="8" xfId="0" applyFont="1" applyBorder="1" applyAlignment="1">
      <alignment horizontal="center" wrapTex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/>
    </xf>
    <xf numFmtId="10" fontId="3" fillId="5" borderId="9" xfId="21" applyNumberFormat="1" applyFont="1" applyFill="1" applyBorder="1" applyAlignment="1" applyProtection="1">
      <alignment horizontal="center" vertical="center"/>
      <protection locked="0"/>
    </xf>
    <xf numFmtId="3" fontId="3" fillId="5" borderId="9" xfId="22" applyNumberFormat="1" applyFont="1" applyFill="1" applyBorder="1" applyAlignment="1" applyProtection="1">
      <alignment horizontal="center" vertical="center"/>
      <protection locked="0"/>
    </xf>
    <xf numFmtId="4" fontId="3" fillId="5" borderId="9" xfId="22" applyNumberFormat="1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/>
    </xf>
    <xf numFmtId="4" fontId="3" fillId="5" borderId="10" xfId="22" applyNumberFormat="1" applyFont="1" applyFill="1" applyBorder="1" applyAlignment="1" applyProtection="1">
      <alignment horizontal="center" vertical="center"/>
      <protection locked="0"/>
    </xf>
    <xf numFmtId="4" fontId="4" fillId="5" borderId="11" xfId="22" applyNumberFormat="1" applyFont="1" applyFill="1" applyBorder="1" applyAlignment="1" applyProtection="1">
      <alignment horizontal="center" vertical="center"/>
      <protection/>
    </xf>
    <xf numFmtId="10" fontId="3" fillId="5" borderId="12" xfId="21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Alignment="1">
      <alignment/>
    </xf>
    <xf numFmtId="0" fontId="24" fillId="0" borderId="0" xfId="0" applyFont="1" applyAlignment="1" quotePrefix="1">
      <alignment horizontal="left"/>
    </xf>
    <xf numFmtId="8" fontId="25" fillId="0" borderId="0" xfId="22" applyNumberFormat="1" applyFont="1" applyAlignment="1">
      <alignment/>
    </xf>
    <xf numFmtId="0" fontId="25" fillId="0" borderId="0" xfId="0" applyFont="1" applyFill="1" applyBorder="1" applyAlignment="1" quotePrefix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74" fontId="3" fillId="5" borderId="9" xfId="21" applyNumberFormat="1" applyFont="1" applyFill="1" applyBorder="1" applyAlignment="1" applyProtection="1">
      <alignment horizontal="center" vertical="center"/>
      <protection locked="0"/>
    </xf>
    <xf numFmtId="43" fontId="2" fillId="5" borderId="11" xfId="22" applyFont="1" applyFill="1" applyBorder="1" applyAlignment="1" applyProtection="1">
      <alignment vertical="center"/>
      <protection locked="0"/>
    </xf>
    <xf numFmtId="43" fontId="10" fillId="5" borderId="7" xfId="22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 wrapText="1"/>
    </xf>
    <xf numFmtId="0" fontId="8" fillId="0" borderId="0" xfId="0" applyFont="1" applyFill="1" applyAlignment="1">
      <alignment horizontal="left"/>
    </xf>
    <xf numFmtId="169" fontId="8" fillId="0" borderId="0" xfId="19" applyFont="1" applyFill="1" applyBorder="1" applyAlignment="1">
      <alignment horizontal="center"/>
    </xf>
    <xf numFmtId="192" fontId="8" fillId="0" borderId="0" xfId="22" applyNumberFormat="1" applyFont="1" applyFill="1" applyBorder="1" applyAlignment="1">
      <alignment horizontal="center"/>
    </xf>
    <xf numFmtId="10" fontId="8" fillId="0" borderId="0" xfId="21" applyNumberFormat="1" applyFont="1" applyFill="1" applyBorder="1" applyAlignment="1">
      <alignment horizontal="center"/>
    </xf>
    <xf numFmtId="175" fontId="8" fillId="0" borderId="0" xfId="21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169" fontId="1" fillId="6" borderId="8" xfId="19" applyFont="1" applyFill="1" applyBorder="1" applyAlignment="1">
      <alignment horizontal="left"/>
    </xf>
    <xf numFmtId="169" fontId="1" fillId="7" borderId="8" xfId="0" applyNumberFormat="1" applyFont="1" applyFill="1" applyBorder="1" applyAlignment="1">
      <alignment/>
    </xf>
    <xf numFmtId="169" fontId="8" fillId="0" borderId="0" xfId="0" applyNumberFormat="1" applyFont="1" applyAlignment="1">
      <alignment/>
    </xf>
    <xf numFmtId="169" fontId="7" fillId="0" borderId="0" xfId="19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9" fontId="7" fillId="0" borderId="0" xfId="19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3" fontId="8" fillId="0" borderId="0" xfId="22" applyFont="1" applyAlignment="1">
      <alignment/>
    </xf>
    <xf numFmtId="192" fontId="8" fillId="0" borderId="0" xfId="0" applyNumberFormat="1" applyFont="1" applyAlignment="1">
      <alignment/>
    </xf>
    <xf numFmtId="10" fontId="8" fillId="0" borderId="0" xfId="21" applyNumberFormat="1" applyFont="1" applyAlignment="1">
      <alignment/>
    </xf>
    <xf numFmtId="176" fontId="8" fillId="0" borderId="0" xfId="21" applyNumberFormat="1" applyFont="1" applyAlignment="1">
      <alignment/>
    </xf>
    <xf numFmtId="18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81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0" fontId="8" fillId="0" borderId="0" xfId="20" applyFont="1">
      <alignment/>
      <protection/>
    </xf>
    <xf numFmtId="0" fontId="8" fillId="0" borderId="0" xfId="20" applyFont="1" applyAlignment="1" quotePrefix="1">
      <alignment horizontal="left"/>
      <protection/>
    </xf>
    <xf numFmtId="0" fontId="8" fillId="0" borderId="0" xfId="0" applyFont="1" applyAlignment="1">
      <alignment horizontal="right"/>
    </xf>
    <xf numFmtId="0" fontId="0" fillId="0" borderId="13" xfId="0" applyBorder="1" applyAlignment="1">
      <alignment horizontal="center" vertical="center" textRotation="90" wrapText="1"/>
    </xf>
    <xf numFmtId="0" fontId="3" fillId="5" borderId="14" xfId="0" applyFont="1" applyFill="1" applyBorder="1" applyAlignment="1" quotePrefix="1">
      <alignment horizontal="left" vertical="center"/>
    </xf>
    <xf numFmtId="0" fontId="3" fillId="5" borderId="15" xfId="0" applyFont="1" applyFill="1" applyBorder="1" applyAlignment="1" quotePrefix="1">
      <alignment horizontal="left" vertical="center"/>
    </xf>
    <xf numFmtId="0" fontId="4" fillId="5" borderId="14" xfId="0" applyFont="1" applyFill="1" applyBorder="1" applyAlignment="1" quotePrefix="1">
      <alignment horizontal="left" vertical="center"/>
    </xf>
    <xf numFmtId="0" fontId="4" fillId="5" borderId="15" xfId="0" applyFont="1" applyFill="1" applyBorder="1" applyAlignment="1" quotePrefix="1">
      <alignment horizontal="left" vertical="center"/>
    </xf>
    <xf numFmtId="0" fontId="21" fillId="8" borderId="16" xfId="0" applyFont="1" applyFill="1" applyBorder="1" applyAlignment="1" quotePrefix="1">
      <alignment horizontal="center" vertical="center"/>
    </xf>
    <xf numFmtId="0" fontId="0" fillId="8" borderId="17" xfId="0" applyFont="1" applyFill="1" applyBorder="1" applyAlignment="1">
      <alignment/>
    </xf>
    <xf numFmtId="0" fontId="0" fillId="8" borderId="18" xfId="0" applyFont="1" applyFill="1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3" fillId="5" borderId="19" xfId="0" applyFont="1" applyFill="1" applyBorder="1" applyAlignment="1" quotePrefix="1">
      <alignment horizontal="left" vertical="center"/>
    </xf>
    <xf numFmtId="0" fontId="3" fillId="5" borderId="20" xfId="0" applyFont="1" applyFill="1" applyBorder="1" applyAlignment="1" quotePrefix="1">
      <alignment horizontal="left" vertical="center"/>
    </xf>
    <xf numFmtId="0" fontId="3" fillId="5" borderId="21" xfId="0" applyFont="1" applyFill="1" applyBorder="1" applyAlignment="1" quotePrefix="1">
      <alignment horizontal="left" vertical="center"/>
    </xf>
    <xf numFmtId="0" fontId="3" fillId="5" borderId="22" xfId="0" applyFont="1" applyFill="1" applyBorder="1" applyAlignment="1" quotePrefix="1">
      <alignment horizontal="left" vertical="center"/>
    </xf>
    <xf numFmtId="0" fontId="1" fillId="9" borderId="13" xfId="0" applyFont="1" applyFill="1" applyBorder="1" applyAlignment="1" quotePrefix="1">
      <alignment horizontal="left" vertical="center"/>
    </xf>
    <xf numFmtId="0" fontId="1" fillId="9" borderId="23" xfId="0" applyFont="1" applyFill="1" applyBorder="1" applyAlignment="1" quotePrefix="1">
      <alignment horizontal="left" vertical="center"/>
    </xf>
    <xf numFmtId="0" fontId="1" fillId="9" borderId="24" xfId="0" applyFont="1" applyFill="1" applyBorder="1" applyAlignment="1" quotePrefix="1">
      <alignment horizontal="left" vertical="center"/>
    </xf>
    <xf numFmtId="0" fontId="1" fillId="9" borderId="25" xfId="0" applyFont="1" applyFill="1" applyBorder="1" applyAlignment="1" quotePrefix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69" fontId="1" fillId="6" borderId="16" xfId="19" applyFont="1" applyFill="1" applyBorder="1" applyAlignment="1">
      <alignment horizontal="center"/>
    </xf>
    <xf numFmtId="0" fontId="8" fillId="0" borderId="18" xfId="0" applyFont="1" applyBorder="1" applyAlignment="1">
      <alignment/>
    </xf>
    <xf numFmtId="4" fontId="1" fillId="9" borderId="11" xfId="22" applyNumberFormat="1" applyFont="1" applyFill="1" applyBorder="1" applyAlignment="1">
      <alignment horizontal="center" vertical="center" wrapText="1"/>
    </xf>
    <xf numFmtId="4" fontId="1" fillId="9" borderId="26" xfId="22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 applyProtection="1" quotePrefix="1">
      <alignment horizontal="left" vertical="center"/>
      <protection locked="0"/>
    </xf>
    <xf numFmtId="0" fontId="1" fillId="2" borderId="28" xfId="0" applyFont="1" applyFill="1" applyBorder="1" applyAlignment="1" applyProtection="1" quotePrefix="1">
      <alignment horizontal="left" vertical="center"/>
      <protection locked="0"/>
    </xf>
    <xf numFmtId="0" fontId="16" fillId="5" borderId="29" xfId="0" applyFont="1" applyFill="1" applyBorder="1" applyAlignment="1">
      <alignment horizontal="left" vertical="center" wrapText="1"/>
    </xf>
    <xf numFmtId="0" fontId="16" fillId="5" borderId="13" xfId="0" applyFont="1" applyFill="1" applyBorder="1" applyAlignment="1">
      <alignment horizontal="left" vertical="center" wrapText="1"/>
    </xf>
    <xf numFmtId="0" fontId="16" fillId="5" borderId="30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30" xfId="0" applyBorder="1" applyAlignment="1">
      <alignment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Moeda_SIMULADORES" xfId="19"/>
    <cellStyle name="Normal_formulas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20</xdr:row>
      <xdr:rowOff>0</xdr:rowOff>
    </xdr:from>
    <xdr:to>
      <xdr:col>4</xdr:col>
      <xdr:colOff>257175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91150" y="5353050"/>
          <a:ext cx="247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Informe Valores</a:t>
          </a:r>
        </a:p>
      </xdr:txBody>
    </xdr:sp>
    <xdr:clientData fPrintsWithSheet="0"/>
  </xdr:twoCellAnchor>
  <xdr:oneCellAnchor>
    <xdr:from>
      <xdr:col>4</xdr:col>
      <xdr:colOff>228600</xdr:colOff>
      <xdr:row>3</xdr:row>
      <xdr:rowOff>0</xdr:rowOff>
    </xdr:from>
    <xdr:ext cx="1847850" cy="4362450"/>
    <xdr:sp>
      <xdr:nvSpPr>
        <xdr:cNvPr id="2" name="TextBox 18"/>
        <xdr:cNvSpPr txBox="1">
          <a:spLocks noChangeArrowheads="1"/>
        </xdr:cNvSpPr>
      </xdr:nvSpPr>
      <xdr:spPr>
        <a:xfrm>
          <a:off x="5610225" y="676275"/>
          <a:ext cx="1847850" cy="436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Observações: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1. A prestação máxima deve ser o menor valor entre:
30% do Salário Base menos Descontos Obrigatórios, ou
40% do Salário Base menos Total de Descontos
2. O valor do Salário Base não pode considerar:
Diárias
Ajudas de Custo
Adicional Hora Extra
Gratificação Natalina
Auxílio-Maternidade
Auxílio-Funeral
Adicional de Férias
Auxílio-Alimentação, mesmo pago em dinheiro
Auxílio-Transporte, mesmo pago em dinheiro
Parcelas referentes a antecipações de remuneração futura ou de caráter retroativo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63"/>
  <sheetViews>
    <sheetView showGridLines="0" showRowColHeaders="0" tabSelected="1" showOutlineSymbols="0" workbookViewId="0" topLeftCell="A1">
      <selection activeCell="G20" sqref="G20"/>
    </sheetView>
  </sheetViews>
  <sheetFormatPr defaultColWidth="9.140625" defaultRowHeight="12.75"/>
  <cols>
    <col min="1" max="1" width="0.9921875" style="0" customWidth="1"/>
    <col min="2" max="2" width="22.8515625" style="0" customWidth="1"/>
    <col min="3" max="3" width="45.8515625" style="0" customWidth="1"/>
    <col min="4" max="4" width="11.00390625" style="0" customWidth="1"/>
    <col min="7" max="8" width="14.57421875" style="0" bestFit="1" customWidth="1"/>
    <col min="11" max="11" width="0" style="0" hidden="1" customWidth="1"/>
    <col min="12" max="17" width="0" style="39" hidden="1" customWidth="1"/>
    <col min="18" max="18" width="12.8515625" style="39" hidden="1" customWidth="1"/>
    <col min="19" max="60" width="0" style="39" hidden="1" customWidth="1"/>
    <col min="61" max="85" width="9.140625" style="39" customWidth="1"/>
  </cols>
  <sheetData>
    <row r="1" ht="5.25" customHeight="1" thickBot="1">
      <c r="L1" s="38"/>
    </row>
    <row r="2" spans="2:20" ht="30" customHeight="1" thickBot="1">
      <c r="B2" s="78" t="s">
        <v>18</v>
      </c>
      <c r="C2" s="79"/>
      <c r="D2" s="18" t="s">
        <v>64</v>
      </c>
      <c r="L2" s="38"/>
      <c r="N2" s="88" t="s">
        <v>30</v>
      </c>
      <c r="O2" s="88"/>
      <c r="P2" s="88"/>
      <c r="Q2" s="88"/>
      <c r="R2" s="88"/>
      <c r="S2" s="88"/>
      <c r="T2" s="89"/>
    </row>
    <row r="3" spans="2:20" ht="18" customHeight="1">
      <c r="B3" s="94" t="s">
        <v>0</v>
      </c>
      <c r="C3" s="95"/>
      <c r="D3" s="11">
        <v>1500</v>
      </c>
      <c r="F3" s="1"/>
      <c r="L3" s="38"/>
      <c r="N3" s="40"/>
      <c r="O3" s="40"/>
      <c r="P3" s="40"/>
      <c r="Q3" s="40"/>
      <c r="R3" s="40"/>
      <c r="S3" s="40"/>
      <c r="T3" s="40"/>
    </row>
    <row r="4" spans="2:12" ht="15.75" customHeight="1">
      <c r="B4" s="96" t="s">
        <v>8</v>
      </c>
      <c r="C4" s="20" t="s">
        <v>1</v>
      </c>
      <c r="D4" s="36">
        <v>100</v>
      </c>
      <c r="F4" s="2"/>
      <c r="L4" s="38"/>
    </row>
    <row r="5" spans="2:20" ht="15.75" customHeight="1">
      <c r="B5" s="101"/>
      <c r="C5" s="20" t="s">
        <v>2</v>
      </c>
      <c r="D5" s="36">
        <v>50</v>
      </c>
      <c r="F5" s="3"/>
      <c r="L5" s="41" t="s">
        <v>66</v>
      </c>
      <c r="O5" s="40"/>
      <c r="P5" s="40"/>
      <c r="Q5" s="40"/>
      <c r="R5" s="42">
        <f>D21</f>
        <v>1000</v>
      </c>
      <c r="S5" s="40"/>
      <c r="T5" s="40"/>
    </row>
    <row r="6" spans="2:18" ht="15.75" customHeight="1">
      <c r="B6" s="101"/>
      <c r="C6" s="20" t="s">
        <v>3</v>
      </c>
      <c r="D6" s="36"/>
      <c r="F6" s="3"/>
      <c r="L6" s="39" t="s">
        <v>31</v>
      </c>
      <c r="R6" s="43">
        <f>D23</f>
        <v>12</v>
      </c>
    </row>
    <row r="7" spans="2:18" ht="15.75" customHeight="1">
      <c r="B7" s="101"/>
      <c r="C7" s="20" t="s">
        <v>4</v>
      </c>
      <c r="D7" s="36"/>
      <c r="F7" s="3"/>
      <c r="L7" s="39" t="s">
        <v>32</v>
      </c>
      <c r="N7" s="4"/>
      <c r="R7" s="44">
        <f>D22</f>
        <v>0.02</v>
      </c>
    </row>
    <row r="8" spans="2:19" ht="15.75" customHeight="1">
      <c r="B8" s="101"/>
      <c r="C8" s="20" t="s">
        <v>5</v>
      </c>
      <c r="D8" s="36"/>
      <c r="F8" s="4"/>
      <c r="L8" s="39" t="s">
        <v>33</v>
      </c>
      <c r="N8" s="4"/>
      <c r="R8" s="45">
        <f>D24</f>
        <v>0.00125</v>
      </c>
      <c r="S8" s="39">
        <f>IF(OR(R5=0,R6=0),1,2)</f>
        <v>2</v>
      </c>
    </row>
    <row r="9" spans="2:21" ht="15.75" customHeight="1">
      <c r="B9" s="101"/>
      <c r="C9" s="20" t="s">
        <v>6</v>
      </c>
      <c r="D9" s="36"/>
      <c r="F9" s="3"/>
      <c r="R9" s="42"/>
      <c r="U9" s="39">
        <f>1.170421^(1/12)</f>
        <v>1.0131999867779045</v>
      </c>
    </row>
    <row r="10" spans="2:12" ht="19.5" customHeight="1">
      <c r="B10" s="102"/>
      <c r="C10" s="25" t="s">
        <v>7</v>
      </c>
      <c r="D10" s="37">
        <f>SUM(D4:D9)</f>
        <v>150</v>
      </c>
      <c r="F10" s="3"/>
      <c r="L10" s="38"/>
    </row>
    <row r="11" spans="2:12" ht="27" customHeight="1">
      <c r="B11" s="96" t="s">
        <v>17</v>
      </c>
      <c r="C11" s="19" t="s">
        <v>9</v>
      </c>
      <c r="D11" s="36"/>
      <c r="F11" s="3"/>
      <c r="L11" s="38"/>
    </row>
    <row r="12" spans="2:22" ht="27" customHeight="1">
      <c r="B12" s="97"/>
      <c r="C12" s="20" t="s">
        <v>10</v>
      </c>
      <c r="D12" s="36"/>
      <c r="F12" s="3"/>
      <c r="L12" s="38"/>
      <c r="N12" s="39" t="s">
        <v>34</v>
      </c>
      <c r="R12" s="46" t="s">
        <v>35</v>
      </c>
      <c r="S12" s="46"/>
      <c r="T12" s="46"/>
      <c r="U12" s="46" t="s">
        <v>36</v>
      </c>
      <c r="V12" s="47" t="s">
        <v>67</v>
      </c>
    </row>
    <row r="13" spans="2:12" ht="27" customHeight="1">
      <c r="B13" s="97"/>
      <c r="C13" s="19" t="s">
        <v>11</v>
      </c>
      <c r="D13" s="36">
        <v>300</v>
      </c>
      <c r="F13" s="3"/>
      <c r="L13" s="38"/>
    </row>
    <row r="14" spans="2:23" ht="27" customHeight="1" thickBot="1">
      <c r="B14" s="97"/>
      <c r="C14" s="19" t="s">
        <v>12</v>
      </c>
      <c r="D14" s="36"/>
      <c r="F14" s="3"/>
      <c r="L14" s="38"/>
      <c r="N14" s="39" t="s">
        <v>68</v>
      </c>
      <c r="S14" s="48"/>
      <c r="W14" s="49"/>
    </row>
    <row r="15" spans="2:23" ht="27" customHeight="1" thickBot="1">
      <c r="B15" s="97"/>
      <c r="C15" s="19" t="s">
        <v>13</v>
      </c>
      <c r="D15" s="36"/>
      <c r="F15" s="3"/>
      <c r="L15" s="38"/>
      <c r="O15" s="90">
        <f>IF(S8=2,ROUND(PMT(R7,R6,-(R5+L43)),2)," ")</f>
        <v>95.36</v>
      </c>
      <c r="P15" s="91"/>
      <c r="R15" s="50">
        <f>IF(S8=2,R5+L43-L43," ")</f>
        <v>1000</v>
      </c>
      <c r="U15" s="51">
        <f>IF(S8=2,O15*R6," ")</f>
        <v>1144.32</v>
      </c>
      <c r="V15" s="52">
        <f>IF(S8=2,U15," ")</f>
        <v>1144.32</v>
      </c>
      <c r="W15" s="49"/>
    </row>
    <row r="16" spans="2:23" ht="27" customHeight="1">
      <c r="B16" s="97"/>
      <c r="C16" s="19" t="s">
        <v>14</v>
      </c>
      <c r="D16" s="36"/>
      <c r="F16" s="5"/>
      <c r="L16" s="38"/>
      <c r="N16" s="49"/>
      <c r="O16" s="53"/>
      <c r="P16" s="54"/>
      <c r="Q16" s="49"/>
      <c r="R16" s="55"/>
      <c r="S16" s="56"/>
      <c r="T16" s="49"/>
      <c r="U16" s="49"/>
      <c r="V16" s="49"/>
      <c r="W16" s="49"/>
    </row>
    <row r="17" spans="2:12" ht="24" customHeight="1">
      <c r="B17" s="98"/>
      <c r="C17" s="24" t="s">
        <v>7</v>
      </c>
      <c r="D17" s="37">
        <f>SUM(D11:D16)</f>
        <v>300</v>
      </c>
      <c r="F17" s="3"/>
      <c r="L17" s="38"/>
    </row>
    <row r="18" spans="2:12" ht="18" customHeight="1">
      <c r="B18" s="15" t="s">
        <v>15</v>
      </c>
      <c r="C18" s="16"/>
      <c r="D18" s="17">
        <f>D3-D10</f>
        <v>1350</v>
      </c>
      <c r="F18" s="3"/>
      <c r="L18" s="38"/>
    </row>
    <row r="19" spans="2:12" ht="22.5" customHeight="1" thickBot="1">
      <c r="B19" s="12" t="s">
        <v>16</v>
      </c>
      <c r="C19" s="13"/>
      <c r="D19" s="14">
        <f>MIN((D18*0.3),(D18*0.4)-D17)</f>
        <v>240</v>
      </c>
      <c r="L19" s="38"/>
    </row>
    <row r="20" spans="2:12" ht="27.75" customHeight="1" thickBot="1">
      <c r="B20" s="75" t="str">
        <f>IF(D29&lt;D19,"Prencha os campos abaixo e veja aqui o Resultados do Plano Contratado","Você não pode financiar este valor neste prazo")</f>
        <v>Prencha os campos abaixo e veja aqui o Resultados do Plano Contratado</v>
      </c>
      <c r="C20" s="76"/>
      <c r="D20" s="77"/>
      <c r="L20" s="57"/>
    </row>
    <row r="21" spans="2:12" ht="18.75" customHeight="1">
      <c r="B21" s="80" t="s">
        <v>22</v>
      </c>
      <c r="C21" s="81"/>
      <c r="D21" s="26">
        <v>1000</v>
      </c>
      <c r="E21" s="70"/>
      <c r="L21" s="57"/>
    </row>
    <row r="22" spans="2:12" ht="18.75" customHeight="1">
      <c r="B22" s="71" t="s">
        <v>21</v>
      </c>
      <c r="C22" s="72"/>
      <c r="D22" s="21">
        <v>0.02</v>
      </c>
      <c r="E22" s="70"/>
      <c r="L22" s="57"/>
    </row>
    <row r="23" spans="2:13" ht="18.75" customHeight="1">
      <c r="B23" s="99" t="s">
        <v>19</v>
      </c>
      <c r="C23" s="100"/>
      <c r="D23" s="22">
        <v>12</v>
      </c>
      <c r="E23" s="70"/>
      <c r="L23" s="57"/>
      <c r="M23" s="39" t="s">
        <v>39</v>
      </c>
    </row>
    <row r="24" spans="2:5" ht="18.75" customHeight="1">
      <c r="B24" s="71" t="s">
        <v>28</v>
      </c>
      <c r="C24" s="72"/>
      <c r="D24" s="35">
        <v>0.00125</v>
      </c>
      <c r="E24" s="7"/>
    </row>
    <row r="25" spans="2:59" ht="18.75" customHeight="1">
      <c r="B25" s="71" t="s">
        <v>23</v>
      </c>
      <c r="C25" s="72"/>
      <c r="D25" s="23">
        <v>20</v>
      </c>
      <c r="E25" s="7"/>
      <c r="L25" s="39">
        <v>1</v>
      </c>
      <c r="M25" s="39">
        <f aca="true" t="shared" si="0" ref="M25:BG25">L25+1</f>
        <v>2</v>
      </c>
      <c r="N25" s="39">
        <f t="shared" si="0"/>
        <v>3</v>
      </c>
      <c r="O25" s="39">
        <f t="shared" si="0"/>
        <v>4</v>
      </c>
      <c r="P25" s="39">
        <f t="shared" si="0"/>
        <v>5</v>
      </c>
      <c r="Q25" s="39">
        <f t="shared" si="0"/>
        <v>6</v>
      </c>
      <c r="R25" s="39">
        <f t="shared" si="0"/>
        <v>7</v>
      </c>
      <c r="S25" s="39">
        <f t="shared" si="0"/>
        <v>8</v>
      </c>
      <c r="T25" s="39">
        <f t="shared" si="0"/>
        <v>9</v>
      </c>
      <c r="U25" s="39">
        <f t="shared" si="0"/>
        <v>10</v>
      </c>
      <c r="V25" s="39">
        <f t="shared" si="0"/>
        <v>11</v>
      </c>
      <c r="W25" s="39">
        <f t="shared" si="0"/>
        <v>12</v>
      </c>
      <c r="X25" s="39">
        <f t="shared" si="0"/>
        <v>13</v>
      </c>
      <c r="Y25" s="39">
        <f t="shared" si="0"/>
        <v>14</v>
      </c>
      <c r="Z25" s="39">
        <f t="shared" si="0"/>
        <v>15</v>
      </c>
      <c r="AA25" s="39">
        <f t="shared" si="0"/>
        <v>16</v>
      </c>
      <c r="AB25" s="39">
        <f t="shared" si="0"/>
        <v>17</v>
      </c>
      <c r="AC25" s="39">
        <f t="shared" si="0"/>
        <v>18</v>
      </c>
      <c r="AD25" s="39">
        <f t="shared" si="0"/>
        <v>19</v>
      </c>
      <c r="AE25" s="39">
        <f t="shared" si="0"/>
        <v>20</v>
      </c>
      <c r="AF25" s="39">
        <f t="shared" si="0"/>
        <v>21</v>
      </c>
      <c r="AG25" s="39">
        <f t="shared" si="0"/>
        <v>22</v>
      </c>
      <c r="AH25" s="39">
        <f t="shared" si="0"/>
        <v>23</v>
      </c>
      <c r="AI25" s="39">
        <f t="shared" si="0"/>
        <v>24</v>
      </c>
      <c r="AJ25" s="39">
        <f t="shared" si="0"/>
        <v>25</v>
      </c>
      <c r="AK25" s="39">
        <f t="shared" si="0"/>
        <v>26</v>
      </c>
      <c r="AL25" s="39">
        <f t="shared" si="0"/>
        <v>27</v>
      </c>
      <c r="AM25" s="39">
        <f t="shared" si="0"/>
        <v>28</v>
      </c>
      <c r="AN25" s="39">
        <f t="shared" si="0"/>
        <v>29</v>
      </c>
      <c r="AO25" s="39">
        <f t="shared" si="0"/>
        <v>30</v>
      </c>
      <c r="AP25" s="39">
        <f t="shared" si="0"/>
        <v>31</v>
      </c>
      <c r="AQ25" s="39">
        <f t="shared" si="0"/>
        <v>32</v>
      </c>
      <c r="AR25" s="39">
        <f t="shared" si="0"/>
        <v>33</v>
      </c>
      <c r="AS25" s="39">
        <f t="shared" si="0"/>
        <v>34</v>
      </c>
      <c r="AT25" s="39">
        <f t="shared" si="0"/>
        <v>35</v>
      </c>
      <c r="AU25" s="39">
        <f t="shared" si="0"/>
        <v>36</v>
      </c>
      <c r="AV25" s="39">
        <f t="shared" si="0"/>
        <v>37</v>
      </c>
      <c r="AW25" s="39">
        <f t="shared" si="0"/>
        <v>38</v>
      </c>
      <c r="AX25" s="39">
        <f t="shared" si="0"/>
        <v>39</v>
      </c>
      <c r="AY25" s="39">
        <f t="shared" si="0"/>
        <v>40</v>
      </c>
      <c r="AZ25" s="39">
        <f t="shared" si="0"/>
        <v>41</v>
      </c>
      <c r="BA25" s="39">
        <f t="shared" si="0"/>
        <v>42</v>
      </c>
      <c r="BB25" s="39">
        <f t="shared" si="0"/>
        <v>43</v>
      </c>
      <c r="BC25" s="39">
        <f t="shared" si="0"/>
        <v>44</v>
      </c>
      <c r="BD25" s="39">
        <f t="shared" si="0"/>
        <v>45</v>
      </c>
      <c r="BE25" s="39">
        <f t="shared" si="0"/>
        <v>46</v>
      </c>
      <c r="BF25" s="39">
        <f t="shared" si="0"/>
        <v>47</v>
      </c>
      <c r="BG25" s="39">
        <f t="shared" si="0"/>
        <v>48</v>
      </c>
    </row>
    <row r="26" spans="2:23" ht="18.75" customHeight="1">
      <c r="B26" s="71" t="s">
        <v>24</v>
      </c>
      <c r="C26" s="72"/>
      <c r="D26" s="23"/>
      <c r="E26" s="7"/>
      <c r="L26" s="58">
        <v>1</v>
      </c>
      <c r="M26" s="58">
        <f>((1+$O$32)^L25)*M25</f>
        <v>2.04</v>
      </c>
      <c r="N26" s="58">
        <f aca="true" t="shared" si="1" ref="N26:W26">((1+$O$32)^M25)*N25</f>
        <v>3.1212</v>
      </c>
      <c r="O26" s="58">
        <f t="shared" si="1"/>
        <v>4.244832</v>
      </c>
      <c r="P26" s="58">
        <f t="shared" si="1"/>
        <v>5.4121608</v>
      </c>
      <c r="Q26" s="58">
        <f t="shared" si="1"/>
        <v>6.6244848192</v>
      </c>
      <c r="R26" s="58">
        <f t="shared" si="1"/>
        <v>7.883136934848</v>
      </c>
      <c r="S26" s="58">
        <f t="shared" si="1"/>
        <v>9.189485341194239</v>
      </c>
      <c r="T26" s="58">
        <f t="shared" si="1"/>
        <v>10.54493442902039</v>
      </c>
      <c r="U26" s="58">
        <f t="shared" si="1"/>
        <v>11.950925686223108</v>
      </c>
      <c r="V26" s="58">
        <f t="shared" si="1"/>
        <v>13.408938619942328</v>
      </c>
      <c r="W26" s="58">
        <f t="shared" si="1"/>
        <v>14.920491700735823</v>
      </c>
    </row>
    <row r="27" spans="2:23" ht="18.75" customHeight="1">
      <c r="B27" s="73" t="s">
        <v>25</v>
      </c>
      <c r="C27" s="74"/>
      <c r="D27" s="27">
        <f>D21-D25-D26</f>
        <v>980</v>
      </c>
      <c r="E27" s="7"/>
      <c r="L27" s="39">
        <v>1</v>
      </c>
      <c r="M27" s="58">
        <f>SUM($A$26:M26)</f>
        <v>3.04</v>
      </c>
      <c r="N27" s="58">
        <f>SUM($A$26:N26)</f>
        <v>6.1612</v>
      </c>
      <c r="O27" s="58">
        <f>SUM($A$26:O26)</f>
        <v>10.406032</v>
      </c>
      <c r="P27" s="58">
        <f>SUM($A$26:P26)</f>
        <v>15.818192799999998</v>
      </c>
      <c r="Q27" s="58">
        <f>SUM($A$26:Q26)</f>
        <v>22.442677619199998</v>
      </c>
      <c r="R27" s="58">
        <f>SUM($A$26:R26)</f>
        <v>30.325814554047998</v>
      </c>
      <c r="S27" s="58">
        <f>SUM($A$26:S26)</f>
        <v>39.51529989524224</v>
      </c>
      <c r="T27" s="58">
        <f>SUM($A$26:T26)</f>
        <v>50.06023432426262</v>
      </c>
      <c r="U27" s="58">
        <f>SUM($A$26:U26)</f>
        <v>62.01116001048573</v>
      </c>
      <c r="V27" s="58">
        <f>SUM($A$26:V26)</f>
        <v>75.42009863042806</v>
      </c>
      <c r="W27" s="58">
        <f>SUM($A$26:W26)</f>
        <v>90.34059033116388</v>
      </c>
    </row>
    <row r="28" spans="2:59" ht="18.75" customHeight="1">
      <c r="B28" s="82" t="s">
        <v>29</v>
      </c>
      <c r="C28" s="83"/>
      <c r="D28" s="28">
        <f>IF(ISTEXT(D29)=TRUE,"",RATE(D23,-D29,D27))</f>
        <v>0.024693199552041818</v>
      </c>
      <c r="E28" s="7"/>
      <c r="X28" s="39">
        <f>(1+$O$32)^(X25-1)</f>
        <v>1.2682417945625453</v>
      </c>
      <c r="Y28" s="39">
        <f aca="true" t="shared" si="2" ref="Y28:BG28">(1+$O$32)^(Y25-1)</f>
        <v>1.293606630453796</v>
      </c>
      <c r="Z28" s="39">
        <f t="shared" si="2"/>
        <v>1.3194787630628722</v>
      </c>
      <c r="AA28" s="39">
        <f t="shared" si="2"/>
        <v>1.3458683383241292</v>
      </c>
      <c r="AB28" s="39">
        <f t="shared" si="2"/>
        <v>1.372785705090612</v>
      </c>
      <c r="AC28" s="39">
        <f t="shared" si="2"/>
        <v>1.4002414191924244</v>
      </c>
      <c r="AD28" s="39">
        <f t="shared" si="2"/>
        <v>1.4282462475762727</v>
      </c>
      <c r="AE28" s="39">
        <f t="shared" si="2"/>
        <v>1.4568111725277981</v>
      </c>
      <c r="AF28" s="39">
        <f t="shared" si="2"/>
        <v>1.4859473959783542</v>
      </c>
      <c r="AG28" s="39">
        <f t="shared" si="2"/>
        <v>1.5156663438979212</v>
      </c>
      <c r="AH28" s="39">
        <f t="shared" si="2"/>
        <v>1.5459796707758797</v>
      </c>
      <c r="AI28" s="39">
        <f t="shared" si="2"/>
        <v>1.576899264191397</v>
      </c>
      <c r="AJ28" s="39">
        <f t="shared" si="2"/>
        <v>1.608437249475225</v>
      </c>
      <c r="AK28" s="39">
        <f t="shared" si="2"/>
        <v>1.6406059944647295</v>
      </c>
      <c r="AL28" s="39">
        <f t="shared" si="2"/>
        <v>1.6734181143540243</v>
      </c>
      <c r="AM28" s="39">
        <f t="shared" si="2"/>
        <v>1.7068864766411045</v>
      </c>
      <c r="AN28" s="39">
        <f t="shared" si="2"/>
        <v>1.741024206173927</v>
      </c>
      <c r="AO28" s="39">
        <f t="shared" si="2"/>
        <v>1.7758446902974052</v>
      </c>
      <c r="AP28" s="39">
        <f t="shared" si="2"/>
        <v>1.8113615841033535</v>
      </c>
      <c r="AQ28" s="39">
        <f t="shared" si="2"/>
        <v>1.8475888157854201</v>
      </c>
      <c r="AR28" s="39">
        <f t="shared" si="2"/>
        <v>1.884540592101129</v>
      </c>
      <c r="AS28" s="39">
        <f t="shared" si="2"/>
        <v>1.9222314039431516</v>
      </c>
      <c r="AT28" s="39">
        <f t="shared" si="2"/>
        <v>1.9606760320220145</v>
      </c>
      <c r="AU28" s="39">
        <f t="shared" si="2"/>
        <v>1.9998895526624547</v>
      </c>
      <c r="AV28" s="39">
        <f t="shared" si="2"/>
        <v>2.0398873437157037</v>
      </c>
      <c r="AW28" s="39">
        <f t="shared" si="2"/>
        <v>2.080685090590018</v>
      </c>
      <c r="AX28" s="39">
        <f t="shared" si="2"/>
        <v>2.1222987924018186</v>
      </c>
      <c r="AY28" s="39">
        <f t="shared" si="2"/>
        <v>2.164744768249854</v>
      </c>
      <c r="AZ28" s="39">
        <f t="shared" si="2"/>
        <v>2.208039663614852</v>
      </c>
      <c r="BA28" s="39">
        <f t="shared" si="2"/>
        <v>2.2522004568871488</v>
      </c>
      <c r="BB28" s="39">
        <f t="shared" si="2"/>
        <v>2.2972444660248916</v>
      </c>
      <c r="BC28" s="39">
        <f t="shared" si="2"/>
        <v>2.3431893553453893</v>
      </c>
      <c r="BD28" s="39">
        <f t="shared" si="2"/>
        <v>2.3900531424522975</v>
      </c>
      <c r="BE28" s="39">
        <f t="shared" si="2"/>
        <v>2.4378542053013432</v>
      </c>
      <c r="BF28" s="39">
        <f t="shared" si="2"/>
        <v>2.4866112894073704</v>
      </c>
      <c r="BG28" s="39">
        <f t="shared" si="2"/>
        <v>2.536343515195517</v>
      </c>
    </row>
    <row r="29" spans="2:59" ht="12.75" customHeight="1">
      <c r="B29" s="84" t="s">
        <v>27</v>
      </c>
      <c r="C29" s="85"/>
      <c r="D29" s="92">
        <f>O15</f>
        <v>95.36</v>
      </c>
      <c r="E29" s="6"/>
      <c r="X29" s="39">
        <f>SUM($M$28:X28)</f>
        <v>1.2682417945625453</v>
      </c>
      <c r="Y29" s="39">
        <f>SUM($M$28:Y28)</f>
        <v>2.5618484250163416</v>
      </c>
      <c r="Z29" s="39">
        <f>SUM($M$28:Z28)</f>
        <v>3.8813271880792137</v>
      </c>
      <c r="AA29" s="39">
        <f>SUM($M$28:AA28)</f>
        <v>5.227195526403343</v>
      </c>
      <c r="AB29" s="39">
        <f>SUM($M$28:AB28)</f>
        <v>6.599981231493955</v>
      </c>
      <c r="AC29" s="39">
        <f>SUM($M$28:AC28)</f>
        <v>8.00022265068638</v>
      </c>
      <c r="AD29" s="39">
        <f>SUM($M$28:AD28)</f>
        <v>9.428468898262652</v>
      </c>
      <c r="AE29" s="39">
        <f>SUM($M$28:AE28)</f>
        <v>10.88528007079045</v>
      </c>
      <c r="AF29" s="39">
        <f>SUM($M$28:AF28)</f>
        <v>12.371227466768804</v>
      </c>
      <c r="AG29" s="39">
        <f>SUM($M$28:AG28)</f>
        <v>13.886893810666725</v>
      </c>
      <c r="AH29" s="39">
        <f>SUM($M$28:AH28)</f>
        <v>15.432873481442606</v>
      </c>
      <c r="AI29" s="39">
        <f>SUM($M$28:AI28)</f>
        <v>17.009772745634002</v>
      </c>
      <c r="AJ29" s="39">
        <f>SUM($M$28:AJ28)</f>
        <v>18.61820999510923</v>
      </c>
      <c r="AK29" s="39">
        <f>SUM($M$28:AK28)</f>
        <v>20.258815989573957</v>
      </c>
      <c r="AL29" s="39">
        <f>SUM($M$28:AL28)</f>
        <v>21.932234103927982</v>
      </c>
      <c r="AM29" s="39">
        <f>SUM($M$28:AM28)</f>
        <v>23.639120580569088</v>
      </c>
      <c r="AN29" s="39">
        <f>SUM($M$28:AN28)</f>
        <v>25.380144786743013</v>
      </c>
      <c r="AO29" s="39">
        <f>SUM($M$28:AO28)</f>
        <v>27.155989477040418</v>
      </c>
      <c r="AP29" s="39">
        <f>SUM($M$28:AP28)</f>
        <v>28.96735106114377</v>
      </c>
      <c r="AQ29" s="39">
        <f>SUM($M$28:AQ28)</f>
        <v>30.81493987692919</v>
      </c>
      <c r="AR29" s="39">
        <f>SUM($M$28:AR28)</f>
        <v>32.69948046903032</v>
      </c>
      <c r="AS29" s="39">
        <f>SUM($M$28:AS28)</f>
        <v>34.62171187297347</v>
      </c>
      <c r="AT29" s="39">
        <f>SUM($M$28:AT28)</f>
        <v>36.582387904995485</v>
      </c>
      <c r="AU29" s="39">
        <f>SUM($M$28:AU28)</f>
        <v>38.58227745765794</v>
      </c>
      <c r="AV29" s="39">
        <f>SUM($M$28:AV28)</f>
        <v>40.62216480137364</v>
      </c>
      <c r="AW29" s="39">
        <f>SUM($M$28:AW28)</f>
        <v>42.70284989196366</v>
      </c>
      <c r="AX29" s="39">
        <f>SUM($M$28:AX28)</f>
        <v>44.82514868436548</v>
      </c>
      <c r="AY29" s="39">
        <f>SUM($M$28:AY28)</f>
        <v>46.989893452615334</v>
      </c>
      <c r="AZ29" s="39">
        <f>SUM($M$28:AZ28)</f>
        <v>49.19793311623019</v>
      </c>
      <c r="BA29" s="39">
        <f>SUM($M$28:BA28)</f>
        <v>51.45013357311734</v>
      </c>
      <c r="BB29" s="39">
        <f>SUM($M$28:BB28)</f>
        <v>53.747378039142234</v>
      </c>
      <c r="BC29" s="39">
        <f>SUM($M$28:BC28)</f>
        <v>56.09056739448762</v>
      </c>
      <c r="BD29" s="39">
        <f>SUM($M$28:BD28)</f>
        <v>58.48062053693992</v>
      </c>
      <c r="BE29" s="39">
        <f>SUM($M$28:BE28)</f>
        <v>60.91847474224126</v>
      </c>
      <c r="BF29" s="39">
        <f>SUM($M$28:BF28)</f>
        <v>63.40508603164863</v>
      </c>
      <c r="BG29" s="39">
        <f>SUM($M$28:BG28)</f>
        <v>65.94142954684415</v>
      </c>
    </row>
    <row r="30" spans="2:12" ht="13.5" thickBot="1">
      <c r="B30" s="86"/>
      <c r="C30" s="87"/>
      <c r="D30" s="93"/>
      <c r="E30" s="6"/>
      <c r="L30" s="39" t="s">
        <v>40</v>
      </c>
    </row>
    <row r="31" spans="2:15" ht="17.25" customHeight="1">
      <c r="B31" s="30" t="s">
        <v>65</v>
      </c>
      <c r="C31" s="31"/>
      <c r="L31" s="39" t="s">
        <v>41</v>
      </c>
      <c r="O31" s="59">
        <f>R6</f>
        <v>12</v>
      </c>
    </row>
    <row r="32" spans="2:15" ht="9.75" customHeight="1">
      <c r="B32" s="32" t="s">
        <v>26</v>
      </c>
      <c r="C32" s="33"/>
      <c r="L32" s="39" t="s">
        <v>42</v>
      </c>
      <c r="O32" s="60">
        <f>IF(R7=0,0.0000000000001,R7)</f>
        <v>0.02</v>
      </c>
    </row>
    <row r="33" spans="2:15" ht="14.25" customHeight="1">
      <c r="B33" s="34" t="s">
        <v>20</v>
      </c>
      <c r="C33" s="29"/>
      <c r="L33" s="39" t="s">
        <v>43</v>
      </c>
      <c r="O33" s="58">
        <f>R5</f>
        <v>1000</v>
      </c>
    </row>
    <row r="34" spans="3:15" ht="12.75">
      <c r="C34" s="10"/>
      <c r="L34" s="39" t="s">
        <v>44</v>
      </c>
      <c r="O34" s="61">
        <f>R8</f>
        <v>0.00125</v>
      </c>
    </row>
    <row r="35" spans="3:4" ht="12.75">
      <c r="C35" s="9"/>
      <c r="D35" s="8"/>
    </row>
    <row r="36" spans="12:14" ht="12.75">
      <c r="L36" s="62">
        <f>HLOOKUP(O31,L25:W27,3)</f>
        <v>90.34059033116388</v>
      </c>
      <c r="M36" s="63" t="s">
        <v>45</v>
      </c>
      <c r="N36" s="62" t="e">
        <f>HLOOKUP(Q31,N25:Y27,3)</f>
        <v>#N/A</v>
      </c>
    </row>
    <row r="37" spans="12:14" ht="12.75">
      <c r="L37" s="62">
        <f>IF(O31&gt;12,HLOOKUP(O31,X25:BG29,5),0)</f>
        <v>0</v>
      </c>
      <c r="M37" s="63" t="s">
        <v>46</v>
      </c>
      <c r="N37" s="62">
        <f>IF(Q31&gt;12,HLOOKUP(Q31,Z25:BI29,5),0)</f>
        <v>0</v>
      </c>
    </row>
    <row r="38" spans="12:14" ht="12.75">
      <c r="L38" s="62">
        <f>L36+12*L37</f>
        <v>90.34059033116388</v>
      </c>
      <c r="M38" s="63" t="s">
        <v>47</v>
      </c>
      <c r="N38" s="62" t="e">
        <f>N36+12*N37</f>
        <v>#N/A</v>
      </c>
    </row>
    <row r="39" spans="12:14" ht="12.75">
      <c r="L39" s="62">
        <f>(1+O32)^O31-1</f>
        <v>0.26824179456254527</v>
      </c>
      <c r="M39" s="63" t="s">
        <v>48</v>
      </c>
      <c r="N39" s="62">
        <f>(1+Q32/100)^Q31-1</f>
        <v>0</v>
      </c>
    </row>
    <row r="40" spans="12:14" ht="12.75">
      <c r="L40" s="62">
        <f>(O32)*L38/L39</f>
        <v>6.735757973770892</v>
      </c>
      <c r="M40" s="63" t="s">
        <v>49</v>
      </c>
      <c r="N40" s="62" t="e">
        <f>(Q32/100)*N38/N39</f>
        <v>#N/A</v>
      </c>
    </row>
    <row r="41" spans="12:17" ht="12.75">
      <c r="L41" s="64">
        <f>O34*L40</f>
        <v>0.008419697467213615</v>
      </c>
      <c r="M41" s="63" t="s">
        <v>50</v>
      </c>
      <c r="N41" s="64" t="e">
        <f>Q34*N40</f>
        <v>#N/A</v>
      </c>
      <c r="Q41" s="65"/>
    </row>
    <row r="42" spans="12:15" ht="12.75">
      <c r="L42" s="66">
        <f>L41*O33</f>
        <v>8.419697467213615</v>
      </c>
      <c r="M42" s="63" t="s">
        <v>51</v>
      </c>
      <c r="N42" s="66" t="e">
        <f>N41*Q33</f>
        <v>#N/A</v>
      </c>
      <c r="O42" s="39" t="s">
        <v>52</v>
      </c>
    </row>
    <row r="43" spans="12:15" ht="12.75">
      <c r="L43" s="66">
        <f>L41*O33/(1-L41)</f>
        <v>8.491190724248195</v>
      </c>
      <c r="M43" s="63" t="s">
        <v>53</v>
      </c>
      <c r="N43" s="66" t="e">
        <f>N41*Q33/(1-N41)</f>
        <v>#N/A</v>
      </c>
      <c r="O43" s="39" t="s">
        <v>54</v>
      </c>
    </row>
    <row r="46" ht="12.75">
      <c r="L46" s="39">
        <f>59.82/L42</f>
        <v>7.104768340304348</v>
      </c>
    </row>
    <row r="50" ht="12.75">
      <c r="M50" s="58"/>
    </row>
    <row r="51" spans="12:16" ht="13.5">
      <c r="L51" s="39" t="s">
        <v>37</v>
      </c>
      <c r="M51" s="58" t="e">
        <f>#REF!</f>
        <v>#REF!</v>
      </c>
      <c r="N51" s="67" t="s">
        <v>69</v>
      </c>
      <c r="O51" s="67"/>
      <c r="P51" s="67"/>
    </row>
    <row r="52" spans="13:16" ht="13.5">
      <c r="M52" s="58"/>
      <c r="N52" s="67"/>
      <c r="O52" s="68" t="s">
        <v>70</v>
      </c>
      <c r="P52" s="67"/>
    </row>
    <row r="53" spans="13:16" ht="12.75">
      <c r="M53" s="58"/>
      <c r="N53" s="67"/>
      <c r="O53" s="68"/>
      <c r="P53" s="67"/>
    </row>
    <row r="54" spans="12:16" ht="12.75">
      <c r="L54" s="69" t="s">
        <v>55</v>
      </c>
      <c r="M54" s="58" t="s">
        <v>56</v>
      </c>
      <c r="N54" s="67" t="s">
        <v>57</v>
      </c>
      <c r="O54" s="68"/>
      <c r="P54" s="67"/>
    </row>
    <row r="55" spans="12:16" ht="12.75">
      <c r="L55" s="69"/>
      <c r="M55" s="58" t="s">
        <v>58</v>
      </c>
      <c r="N55" s="67" t="s">
        <v>59</v>
      </c>
      <c r="O55" s="68"/>
      <c r="P55" s="67"/>
    </row>
    <row r="56" spans="12:16" ht="12.75">
      <c r="L56" s="69"/>
      <c r="M56" s="58" t="s">
        <v>60</v>
      </c>
      <c r="N56" s="67" t="s">
        <v>61</v>
      </c>
      <c r="O56" s="68"/>
      <c r="P56" s="67"/>
    </row>
    <row r="57" spans="12:16" ht="12.75">
      <c r="L57" s="69"/>
      <c r="M57" s="58"/>
      <c r="N57" s="67"/>
      <c r="O57" s="68"/>
      <c r="P57" s="67"/>
    </row>
    <row r="59" spans="12:14" ht="12.75">
      <c r="L59" s="39" t="s">
        <v>38</v>
      </c>
      <c r="M59" s="58">
        <f>O15</f>
        <v>95.36</v>
      </c>
      <c r="N59" s="39" t="s">
        <v>62</v>
      </c>
    </row>
    <row r="61" spans="12:14" ht="12.75">
      <c r="L61" s="69" t="s">
        <v>55</v>
      </c>
      <c r="M61" s="58" t="s">
        <v>56</v>
      </c>
      <c r="N61" s="67" t="s">
        <v>63</v>
      </c>
    </row>
    <row r="62" spans="12:14" ht="12.75">
      <c r="L62" s="69"/>
      <c r="M62" s="58" t="s">
        <v>58</v>
      </c>
      <c r="N62" s="67" t="s">
        <v>59</v>
      </c>
    </row>
    <row r="63" spans="12:14" ht="12.75">
      <c r="L63" s="69"/>
      <c r="M63" s="58" t="s">
        <v>60</v>
      </c>
      <c r="N63" s="67" t="s">
        <v>61</v>
      </c>
    </row>
  </sheetData>
  <sheetProtection password="D96F" sheet="1" objects="1" scenarios="1"/>
  <mergeCells count="18">
    <mergeCell ref="N2:T2"/>
    <mergeCell ref="O15:P15"/>
    <mergeCell ref="D29:D30"/>
    <mergeCell ref="B3:C3"/>
    <mergeCell ref="B4:B10"/>
    <mergeCell ref="B11:B17"/>
    <mergeCell ref="B22:C22"/>
    <mergeCell ref="B23:C23"/>
    <mergeCell ref="B24:C24"/>
    <mergeCell ref="B25:C25"/>
    <mergeCell ref="B2:C2"/>
    <mergeCell ref="B21:C21"/>
    <mergeCell ref="B28:C28"/>
    <mergeCell ref="B29:C30"/>
    <mergeCell ref="E21:E23"/>
    <mergeCell ref="B26:C26"/>
    <mergeCell ref="B27:C27"/>
    <mergeCell ref="B20:D20"/>
  </mergeCells>
  <dataValidations count="1">
    <dataValidation type="decimal" allowBlank="1" showInputMessage="1" showErrorMessage="1" errorTitle="Atenção" error="Este campo esta programado para aceitar somemte numerais. Verifique se você digitou corretamente o valor." sqref="D21:D26 D11:D16 D3:D9">
      <formula1>0</formula1>
      <formula2>1000000</formula2>
    </dataValidation>
  </dataValidations>
  <printOptions horizontalCentered="1"/>
  <pageMargins left="0.3937007874015748" right="0.3937007874015748" top="0.7874015748031497" bottom="0.7086614173228347" header="0.5118110236220472" footer="0.5118110236220472"/>
  <pageSetup horizontalDpi="300" verticalDpi="3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CUT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D.S.I.</dc:creator>
  <cp:keywords/>
  <dc:description/>
  <cp:lastModifiedBy>Central Única dos Trabalhadores</cp:lastModifiedBy>
  <cp:lastPrinted>2004-02-18T14:45:14Z</cp:lastPrinted>
  <dcterms:created xsi:type="dcterms:W3CDTF">2003-11-26T17:30:00Z</dcterms:created>
  <dcterms:modified xsi:type="dcterms:W3CDTF">2004-02-18T20:28:07Z</dcterms:modified>
  <cp:category/>
  <cp:version/>
  <cp:contentType/>
  <cp:contentStatus/>
</cp:coreProperties>
</file>